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<sst xmlns="http://schemas.openxmlformats.org/spreadsheetml/2006/main" count="171" uniqueCount="123">
  <si>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</si>
  <si>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</si>
  <si>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</si>
  <si>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</si>
  <si>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</si>
  <si>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</si>
  <si>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</si>
  <si>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</si>
  <si>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</si>
  <si>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</si>
  <si>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</si>
  <si>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</si>
  <si>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</si>
  <si>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</si>
  <si>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</si>
  <si>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</si>
  <si>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</si>
  <si>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</si>
  <si>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</si>
  <si>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</si>
  <si>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</si>
  <si>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</si>
  <si>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</si>
  <si>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</si>
  <si>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</si>
  <si>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</si>
  <si>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</si>
  <si>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</si>
  <si>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</si>
  <si>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</si>
  <si>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</si>
  <si>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</si>
  <si>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</si>
  <si>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</si>
  <si>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</si>
  <si>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</si>
  <si>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</si>
  <si>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</si>
  <si>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</si>
  <si>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</si>
  <si>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</si>
  <si>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</si>
  <si>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</si>
  <si>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</si>
  <si>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</si>
  <si>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</si>
  <si>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</si>
  <si>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</si>
  <si>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</si>
  <si>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</si>
  <si>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</si>
  <si>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</si>
  <si>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</si>
  <si>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</si>
  <si>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</si>
  <si>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</si>
  <si>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</si>
  <si>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</si>
  <si>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</si>
  <si>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</si>
  <si>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</si>
  <si>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</si>
  <si>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</si>
  <si>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</si>
  <si>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</si>
  <si>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</si>
  <si>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</si>
  <si>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</si>
  <si>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</si>
  <si>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</si>
  <si>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</si>
  <si>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</si>
  <si>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</si>
  <si>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</si>
  <si>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</si>
  <si>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</si>
  <si>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</si>
  <si>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</si>
  <si>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</si>
  <si>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</si>
  <si>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</si>
  <si>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</si>
  <si>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</si>
  <si>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</si>
  <si>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</si>
  <si>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</si>
  <si>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</si>
  <si>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</si>
  <si>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</si>
  <si>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</si>
  <si>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</si>
  <si>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</si>
  <si>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</si>
  <si>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</si>
  <si>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</si>
  <si>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</si>
  <si>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</si>
  <si>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</si>
  <si>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</si>
  <si>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</si>
  <si>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</si>
  <si>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</si>
  <si>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</si>
  <si>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</si>
  <si>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</si>
  <si>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</si>
  <si>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</si>
  <si>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</si>
  <si>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</si>
  <si>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</si>
  <si>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</si>
  <si>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</si>
  <si>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</si>
  <si>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</si>
  <si>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</si>
  <si>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</si>
  <si>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</si>
  <si>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</si>
  <si>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</si>
  <si>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</si>
  <si>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</si>
  <si>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</si>
  <si>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2016 рік станом на 07.04.2016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</si>
</sst>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55664670"/>
        <c:axId val="31219983"/>
      </c:bar3D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6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12544392"/>
        <c:axId val="45790665"/>
      </c:bar3D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9462802"/>
        <c:axId val="18056355"/>
      </c:bar3DChart>
      <c:catAx>
        <c:axId val="946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56355"/>
        <c:crosses val="autoZero"/>
        <c:auto val="1"/>
        <c:lblOffset val="100"/>
        <c:tickLblSkip val="1"/>
        <c:noMultiLvlLbl val="0"/>
      </c:catAx>
      <c:valAx>
        <c:axId val="1805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628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28289468"/>
        <c:axId val="53278621"/>
      </c:bar3D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78621"/>
        <c:crosses val="autoZero"/>
        <c:auto val="1"/>
        <c:lblOffset val="100"/>
        <c:tickLblSkip val="1"/>
        <c:noMultiLvlLbl val="0"/>
      </c:catAx>
      <c:valAx>
        <c:axId val="5327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89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9745542"/>
        <c:axId val="20601015"/>
      </c:bar3D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01015"/>
        <c:crosses val="autoZero"/>
        <c:auto val="1"/>
        <c:lblOffset val="100"/>
        <c:tickLblSkip val="2"/>
        <c:noMultiLvlLbl val="0"/>
      </c:catAx>
      <c:valAx>
        <c:axId val="2060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45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51191408"/>
        <c:axId val="58069489"/>
      </c:bar3D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1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52863354"/>
        <c:axId val="6008139"/>
      </c:bar3D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63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54073252"/>
        <c:axId val="16897221"/>
      </c:bar3D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17857262"/>
        <c:axId val="26497631"/>
      </c:bar3D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7631"/>
        <c:crosses val="autoZero"/>
        <c:auto val="1"/>
        <c:lblOffset val="100"/>
        <c:tickLblSkip val="1"/>
        <c:noMultiLvlLbl val="0"/>
      </c:catAx>
      <c:valAx>
        <c:axId val="26497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7" sqref="D14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149054.8+1100.6</f>
        <v>150155.4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</f>
        <v>101730.90000000002</v>
      </c>
      <c r="E6" s="3">
        <f>D6/D149*100</f>
        <v>36.36996431677948</v>
      </c>
      <c r="F6" s="3">
        <f>D6/B6*100</f>
        <v>67.75041057464468</v>
      </c>
      <c r="G6" s="3">
        <f aca="true" t="shared" si="0" ref="G6:G43">D6/C6*100</f>
        <v>23.703142263729088</v>
      </c>
      <c r="H6" s="51">
        <f>B6-D6</f>
        <v>48424.49999999997</v>
      </c>
      <c r="I6" s="51">
        <f aca="true" t="shared" si="1" ref="I6:I43">C6-D6</f>
        <v>327456.5</v>
      </c>
    </row>
    <row r="7" spans="1:9" s="41" customFormat="1" ht="18.75">
      <c r="A7" s="112" t="s">
        <v>98</v>
      </c>
      <c r="B7" s="105">
        <f>54431.8+1100.6</f>
        <v>55532.4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</f>
        <v>39911.3</v>
      </c>
      <c r="E7" s="103">
        <f>D7/D6*100</f>
        <v>39.232229342313886</v>
      </c>
      <c r="F7" s="103">
        <f>D7/B7*100</f>
        <v>71.87029553918073</v>
      </c>
      <c r="G7" s="103">
        <f>D7/C7*100</f>
        <v>21.23864466632574</v>
      </c>
      <c r="H7" s="113">
        <f>B7-D7</f>
        <v>15621.099999999999</v>
      </c>
      <c r="I7" s="113">
        <f t="shared" si="1"/>
        <v>148007</v>
      </c>
    </row>
    <row r="8" spans="1:9" ht="18">
      <c r="A8" s="26" t="s">
        <v>3</v>
      </c>
      <c r="B8" s="46">
        <v>94028.7</v>
      </c>
      <c r="C8" s="47">
        <v>298081.6</v>
      </c>
      <c r="D8" s="48">
        <f>3665.2+5419.3+4645.9+6727.5+3.3+4022.1+5553.6+3348.6+2163.6+10156.4+7.2+0.6+10315.5+1+3228.6+8514.3+1326+3.5</f>
        <v>69102.2</v>
      </c>
      <c r="E8" s="1">
        <f>D8/D6*100</f>
        <v>67.92646088848126</v>
      </c>
      <c r="F8" s="1">
        <f>D8/B8*100</f>
        <v>73.4905406540769</v>
      </c>
      <c r="G8" s="1">
        <f t="shared" si="0"/>
        <v>23.18230981046801</v>
      </c>
      <c r="H8" s="48">
        <f>B8-D8</f>
        <v>24926.5</v>
      </c>
      <c r="I8" s="48">
        <f t="shared" si="1"/>
        <v>228979.39999999997</v>
      </c>
    </row>
    <row r="9" spans="1:9" ht="18">
      <c r="A9" s="26" t="s">
        <v>2</v>
      </c>
      <c r="B9" s="46">
        <v>32.9</v>
      </c>
      <c r="C9" s="47">
        <v>85.7</v>
      </c>
      <c r="D9" s="48">
        <f>4+2.9+1.6+0.5+0.5+1.9</f>
        <v>11.4</v>
      </c>
      <c r="E9" s="12">
        <f>D9/D6*100</f>
        <v>0.011206034744605619</v>
      </c>
      <c r="F9" s="128">
        <f>D9/B9*100</f>
        <v>34.650455927051674</v>
      </c>
      <c r="G9" s="1">
        <f t="shared" si="0"/>
        <v>13.302217036172696</v>
      </c>
      <c r="H9" s="48">
        <f aca="true" t="shared" si="2" ref="H9:H43">B9-D9</f>
        <v>21.5</v>
      </c>
      <c r="I9" s="48">
        <f t="shared" si="1"/>
        <v>74.3</v>
      </c>
    </row>
    <row r="10" spans="1:9" ht="18">
      <c r="A10" s="26" t="s">
        <v>1</v>
      </c>
      <c r="B10" s="46">
        <v>13203.9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</f>
        <v>6960.9000000000015</v>
      </c>
      <c r="E10" s="1">
        <f>D10/D6*100</f>
        <v>6.842463794186426</v>
      </c>
      <c r="F10" s="1">
        <f aca="true" t="shared" si="3" ref="F10:F41">D10/B10*100</f>
        <v>52.71851498420922</v>
      </c>
      <c r="G10" s="1">
        <f t="shared" si="0"/>
        <v>24.813477394493976</v>
      </c>
      <c r="H10" s="48">
        <f t="shared" si="2"/>
        <v>6242.999999999998</v>
      </c>
      <c r="I10" s="48">
        <f t="shared" si="1"/>
        <v>21092</v>
      </c>
    </row>
    <row r="11" spans="1:9" ht="18">
      <c r="A11" s="26" t="s">
        <v>0</v>
      </c>
      <c r="B11" s="46">
        <v>31944.4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</f>
        <v>20532.800000000003</v>
      </c>
      <c r="E11" s="1">
        <f>D11/D6*100</f>
        <v>20.1834447547402</v>
      </c>
      <c r="F11" s="1">
        <f t="shared" si="3"/>
        <v>64.2766807327732</v>
      </c>
      <c r="G11" s="1">
        <f t="shared" si="0"/>
        <v>28.655163366585352</v>
      </c>
      <c r="H11" s="48">
        <f t="shared" si="2"/>
        <v>11411.599999999999</v>
      </c>
      <c r="I11" s="48">
        <f t="shared" si="1"/>
        <v>51122</v>
      </c>
    </row>
    <row r="12" spans="1:9" ht="18">
      <c r="A12" s="26" t="s">
        <v>15</v>
      </c>
      <c r="B12" s="46">
        <v>4804.5</v>
      </c>
      <c r="C12" s="47">
        <v>14712</v>
      </c>
      <c r="D12" s="48">
        <f>5+12.7+3.8+1250.6+160.8+241+218.1+277.6+20.3+413.8+8.3+240.5+24.8+2.5+338+212.8+1.2</f>
        <v>3431.8000000000006</v>
      </c>
      <c r="E12" s="1">
        <f>D12/D6*100</f>
        <v>3.373409652327857</v>
      </c>
      <c r="F12" s="1">
        <f t="shared" si="3"/>
        <v>71.42886876886254</v>
      </c>
      <c r="G12" s="1">
        <f t="shared" si="0"/>
        <v>23.326536160957044</v>
      </c>
      <c r="H12" s="48">
        <f t="shared" si="2"/>
        <v>1372.6999999999994</v>
      </c>
      <c r="I12" s="48">
        <f t="shared" si="1"/>
        <v>11280.199999999999</v>
      </c>
    </row>
    <row r="13" spans="1:9" ht="18.75" thickBot="1">
      <c r="A13" s="26" t="s">
        <v>34</v>
      </c>
      <c r="B13" s="47">
        <f>B6-B8-B9-B10-B11-B12</f>
        <v>6140.999999999993</v>
      </c>
      <c r="C13" s="47">
        <f>C6-C8-C9-C10-C11-C12</f>
        <v>16600.400000000038</v>
      </c>
      <c r="D13" s="47">
        <f>D6-D8-D9-D10-D11-D12</f>
        <v>1691.8000000000197</v>
      </c>
      <c r="E13" s="1">
        <f>D13/D6*100</f>
        <v>1.6630148755196497</v>
      </c>
      <c r="F13" s="1">
        <f t="shared" si="3"/>
        <v>27.54925907832636</v>
      </c>
      <c r="G13" s="1">
        <f t="shared" si="0"/>
        <v>10.19132069106778</v>
      </c>
      <c r="H13" s="48">
        <f t="shared" si="2"/>
        <v>4449.199999999973</v>
      </c>
      <c r="I13" s="48">
        <f t="shared" si="1"/>
        <v>14908.600000000019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83225.4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</f>
        <v>58245.4</v>
      </c>
      <c r="E18" s="3">
        <f>D18/D149*100</f>
        <v>20.823398983165852</v>
      </c>
      <c r="F18" s="3">
        <f>D18/B18*100</f>
        <v>69.9851247335549</v>
      </c>
      <c r="G18" s="3">
        <f t="shared" si="0"/>
        <v>22.932036281543393</v>
      </c>
      <c r="H18" s="51">
        <f>B18-D18</f>
        <v>24979.999999999993</v>
      </c>
      <c r="I18" s="51">
        <f t="shared" si="1"/>
        <v>195746</v>
      </c>
    </row>
    <row r="19" spans="1:9" s="41" customFormat="1" ht="18.75">
      <c r="A19" s="112" t="s">
        <v>99</v>
      </c>
      <c r="B19" s="105">
        <v>59701.3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</f>
        <v>43452.79999999999</v>
      </c>
      <c r="E19" s="103">
        <f>D19/D18*100</f>
        <v>74.60297293863547</v>
      </c>
      <c r="F19" s="103">
        <f t="shared" si="3"/>
        <v>72.78367472735098</v>
      </c>
      <c r="G19" s="103">
        <f t="shared" si="0"/>
        <v>22.757305959987427</v>
      </c>
      <c r="H19" s="113">
        <f t="shared" si="2"/>
        <v>16248.500000000015</v>
      </c>
      <c r="I19" s="113">
        <f t="shared" si="1"/>
        <v>147487.2</v>
      </c>
    </row>
    <row r="20" spans="1:9" ht="18">
      <c r="A20" s="26" t="s">
        <v>5</v>
      </c>
      <c r="B20" s="46">
        <v>60012.7</v>
      </c>
      <c r="C20" s="47">
        <v>186641.3</v>
      </c>
      <c r="D20" s="48">
        <f>5722.2+1+8655.9+32.9+2.4+5725.7+8251+357.7+0.1+5829.5+27.9+3957+4812.9+26.7</f>
        <v>43402.899999999994</v>
      </c>
      <c r="E20" s="1">
        <f>D20/D18*100</f>
        <v>74.51730093706969</v>
      </c>
      <c r="F20" s="1">
        <f t="shared" si="3"/>
        <v>72.32285832832049</v>
      </c>
      <c r="G20" s="1">
        <f t="shared" si="0"/>
        <v>23.254713720918144</v>
      </c>
      <c r="H20" s="48">
        <f t="shared" si="2"/>
        <v>16609.800000000003</v>
      </c>
      <c r="I20" s="48">
        <f t="shared" si="1"/>
        <v>143238.4</v>
      </c>
    </row>
    <row r="21" spans="1:9" ht="18">
      <c r="A21" s="26" t="s">
        <v>2</v>
      </c>
      <c r="B21" s="46">
        <v>7784.7</v>
      </c>
      <c r="C21" s="47">
        <f>20454.1+500</f>
        <v>20954.1</v>
      </c>
      <c r="D21" s="48">
        <f>80.5+183.6+169.4+194.4+100+1.7+148.4+215.7+278.3+117.8+152.1+196.9+0.1+12.4+249.4+61.7+746.5+93.7+472.5+302.1+275.1+81.6+3.9+35</f>
        <v>4172.799999999999</v>
      </c>
      <c r="E21" s="1">
        <f>D21/D18*100</f>
        <v>7.164170904483442</v>
      </c>
      <c r="F21" s="1">
        <f t="shared" si="3"/>
        <v>53.60257941860315</v>
      </c>
      <c r="G21" s="1">
        <f t="shared" si="0"/>
        <v>19.914002510248586</v>
      </c>
      <c r="H21" s="48">
        <f t="shared" si="2"/>
        <v>3611.9000000000005</v>
      </c>
      <c r="I21" s="48">
        <f t="shared" si="1"/>
        <v>16781.3</v>
      </c>
    </row>
    <row r="22" spans="1:9" ht="18">
      <c r="A22" s="26" t="s">
        <v>1</v>
      </c>
      <c r="B22" s="46">
        <v>1297</v>
      </c>
      <c r="C22" s="47">
        <v>3917.9</v>
      </c>
      <c r="D22" s="48">
        <f>127.7+23.6+33.5+86.7+19.5+2.9+68.3+78.1+10.6+165.4+2.5+15.8+6.5+60.2+104.3+141.7+2.3+23.7</f>
        <v>973.3</v>
      </c>
      <c r="E22" s="1">
        <f>D22/D18*100</f>
        <v>1.6710332489776016</v>
      </c>
      <c r="F22" s="1">
        <f t="shared" si="3"/>
        <v>75.04240555127217</v>
      </c>
      <c r="G22" s="1">
        <f t="shared" si="0"/>
        <v>24.84239005589729</v>
      </c>
      <c r="H22" s="48">
        <f t="shared" si="2"/>
        <v>323.70000000000005</v>
      </c>
      <c r="I22" s="48">
        <f t="shared" si="1"/>
        <v>2944.6000000000004</v>
      </c>
    </row>
    <row r="23" spans="1:9" ht="18">
      <c r="A23" s="26" t="s">
        <v>0</v>
      </c>
      <c r="B23" s="46">
        <v>11619.2</v>
      </c>
      <c r="C23" s="47">
        <v>27804.4</v>
      </c>
      <c r="D23" s="48">
        <f>230.7+158.8+520.8+110.9+465.7+246.3+3.9+169.6+1975.3+126.5+2+97.4+199.5+165.4+184.4+1288.4+1114.2+20.1+11.6+1104.8</f>
        <v>8196.3</v>
      </c>
      <c r="E23" s="1">
        <f>D23/D18*100</f>
        <v>14.072012553781068</v>
      </c>
      <c r="F23" s="1">
        <f t="shared" si="3"/>
        <v>70.54100110162489</v>
      </c>
      <c r="G23" s="1">
        <f t="shared" si="0"/>
        <v>29.47842787472486</v>
      </c>
      <c r="H23" s="48">
        <f t="shared" si="2"/>
        <v>3422.9000000000015</v>
      </c>
      <c r="I23" s="48">
        <f t="shared" si="1"/>
        <v>19608.100000000002</v>
      </c>
    </row>
    <row r="24" spans="1:9" ht="18">
      <c r="A24" s="26" t="s">
        <v>15</v>
      </c>
      <c r="B24" s="46">
        <v>529.8</v>
      </c>
      <c r="C24" s="47">
        <v>1591.6</v>
      </c>
      <c r="D24" s="48">
        <f>73.6+22.6+5.3+2.4+2.5+128.1+0.1+11.5+121.2+11.2-0.1</f>
        <v>378.4</v>
      </c>
      <c r="E24" s="1">
        <f>D24/D18*100</f>
        <v>0.6496650379257417</v>
      </c>
      <c r="F24" s="1">
        <f t="shared" si="3"/>
        <v>71.4231785579464</v>
      </c>
      <c r="G24" s="1">
        <f t="shared" si="0"/>
        <v>23.77481779341543</v>
      </c>
      <c r="H24" s="48">
        <f t="shared" si="2"/>
        <v>151.39999999999998</v>
      </c>
      <c r="I24" s="48">
        <f t="shared" si="1"/>
        <v>1213.1999999999998</v>
      </c>
    </row>
    <row r="25" spans="1:9" ht="18.75" thickBot="1">
      <c r="A25" s="26" t="s">
        <v>34</v>
      </c>
      <c r="B25" s="47">
        <f>B18-B20-B21-B22-B23-B24</f>
        <v>1981.9999999999957</v>
      </c>
      <c r="C25" s="47">
        <f>C18-C20-C21-C22-C23-C24</f>
        <v>13082.100000000004</v>
      </c>
      <c r="D25" s="47">
        <f>D18-D20-D21-D22-D23-D24</f>
        <v>1121.7000000000094</v>
      </c>
      <c r="E25" s="1">
        <f>D25/D18*100</f>
        <v>1.9258173177624487</v>
      </c>
      <c r="F25" s="1">
        <f t="shared" si="3"/>
        <v>56.59434914228112</v>
      </c>
      <c r="G25" s="1">
        <f t="shared" si="0"/>
        <v>8.574311463755887</v>
      </c>
      <c r="H25" s="48">
        <f t="shared" si="2"/>
        <v>860.2999999999863</v>
      </c>
      <c r="I25" s="48">
        <f t="shared" si="1"/>
        <v>11960.399999999994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16896.7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</f>
        <v>11826.4</v>
      </c>
      <c r="E33" s="3">
        <f>D33/D149*100</f>
        <v>4.228073731736972</v>
      </c>
      <c r="F33" s="3">
        <f>D33/B33*100</f>
        <v>69.9923653731202</v>
      </c>
      <c r="G33" s="3">
        <f t="shared" si="0"/>
        <v>23.518602852125774</v>
      </c>
      <c r="H33" s="51">
        <f t="shared" si="2"/>
        <v>5070.300000000001</v>
      </c>
      <c r="I33" s="51">
        <f t="shared" si="1"/>
        <v>38458.899999999994</v>
      </c>
    </row>
    <row r="34" spans="1:9" ht="18">
      <c r="A34" s="26" t="s">
        <v>3</v>
      </c>
      <c r="B34" s="46">
        <v>10922.5</v>
      </c>
      <c r="C34" s="47">
        <v>35016.6</v>
      </c>
      <c r="D34" s="48">
        <f>1335+1268.2+1354.9+1304.2+1357+1359.6</f>
        <v>7978.9</v>
      </c>
      <c r="E34" s="1">
        <f>D34/D33*100</f>
        <v>67.46685381857539</v>
      </c>
      <c r="F34" s="1">
        <f t="shared" si="3"/>
        <v>73.05012588693064</v>
      </c>
      <c r="G34" s="1">
        <f t="shared" si="0"/>
        <v>22.78605004483588</v>
      </c>
      <c r="H34" s="48">
        <f t="shared" si="2"/>
        <v>2943.6000000000004</v>
      </c>
      <c r="I34" s="48">
        <f t="shared" si="1"/>
        <v>27037.699999999997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1754.3</v>
      </c>
      <c r="C36" s="47">
        <v>3384.4</v>
      </c>
      <c r="D36" s="48">
        <f>10.5+61.2+112+1.1+10.5+29.3+0.6+6.8+9.7+3.4+19.2+41.9-0.2+31.7+187.3+26+0.6+2.4+24.9+11.7+8.1+0.1+179+19</f>
        <v>796.8000000000001</v>
      </c>
      <c r="E36" s="1">
        <f>D36/D33*100</f>
        <v>6.737468714063452</v>
      </c>
      <c r="F36" s="1">
        <f t="shared" si="3"/>
        <v>45.419825571453</v>
      </c>
      <c r="G36" s="1">
        <f t="shared" si="0"/>
        <v>23.543316392861367</v>
      </c>
      <c r="H36" s="48">
        <f t="shared" si="2"/>
        <v>957.4999999999999</v>
      </c>
      <c r="I36" s="48">
        <f t="shared" si="1"/>
        <v>2587.6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11.2+19.5+15.2+5+5.7-0.1+1.9+5.1+7+0.3+7.7</f>
        <v>78.5</v>
      </c>
      <c r="E37" s="17">
        <f>D37/D33*100</f>
        <v>0.6637691943448556</v>
      </c>
      <c r="F37" s="17">
        <f t="shared" si="3"/>
        <v>86.16904500548847</v>
      </c>
      <c r="G37" s="17">
        <f t="shared" si="0"/>
        <v>8.447218336382225</v>
      </c>
      <c r="H37" s="57">
        <f t="shared" si="2"/>
        <v>12.599999999999994</v>
      </c>
      <c r="I37" s="57">
        <f t="shared" si="1"/>
        <v>850.8</v>
      </c>
    </row>
    <row r="38" spans="1:9" ht="18">
      <c r="A38" s="26" t="s">
        <v>15</v>
      </c>
      <c r="B38" s="46">
        <v>20.4</v>
      </c>
      <c r="C38" s="47">
        <v>60.8</v>
      </c>
      <c r="D38" s="47">
        <f>5.1+5.1+5.1</f>
        <v>15.299999999999999</v>
      </c>
      <c r="E38" s="1">
        <f>D38/D33*100</f>
        <v>0.1293715754582967</v>
      </c>
      <c r="F38" s="1">
        <f t="shared" si="3"/>
        <v>75</v>
      </c>
      <c r="G38" s="1">
        <f t="shared" si="0"/>
        <v>25.164473684210524</v>
      </c>
      <c r="H38" s="48">
        <f t="shared" si="2"/>
        <v>5.1</v>
      </c>
      <c r="I38" s="48">
        <f t="shared" si="1"/>
        <v>45.5</v>
      </c>
    </row>
    <row r="39" spans="1:9" ht="18.75" thickBot="1">
      <c r="A39" s="26" t="s">
        <v>34</v>
      </c>
      <c r="B39" s="46">
        <f>B33-B34-B36-B37-B35-B38</f>
        <v>4108.400000000001</v>
      </c>
      <c r="C39" s="46">
        <f>C33-C34-C36-C37-C35-C38</f>
        <v>10894.199999999999</v>
      </c>
      <c r="D39" s="46">
        <f>D33-D34-D36-D37-D35-D38</f>
        <v>2956.8999999999996</v>
      </c>
      <c r="E39" s="1">
        <f>D39/D33*100</f>
        <v>25.002536697558003</v>
      </c>
      <c r="F39" s="1">
        <f t="shared" si="3"/>
        <v>71.9720572485639</v>
      </c>
      <c r="G39" s="1">
        <f t="shared" si="0"/>
        <v>27.14196544950524</v>
      </c>
      <c r="H39" s="48">
        <f>B39-D39</f>
        <v>1151.500000000001</v>
      </c>
      <c r="I39" s="48">
        <f t="shared" si="1"/>
        <v>7937.299999999999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339.1+9</f>
        <v>348.1</v>
      </c>
      <c r="C43" s="50">
        <f>829.5+61+9</f>
        <v>899.5</v>
      </c>
      <c r="D43" s="51">
        <f>22.2+3+5+12.1+5.3+62.1+8.7+22.7+11.7+44.1-0.1+8.7</f>
        <v>205.49999999999997</v>
      </c>
      <c r="E43" s="3">
        <f>D43/D149*100</f>
        <v>0.07346860852600519</v>
      </c>
      <c r="F43" s="3">
        <f>D43/B43*100</f>
        <v>59.03476012640044</v>
      </c>
      <c r="G43" s="3">
        <f t="shared" si="0"/>
        <v>22.846025569760975</v>
      </c>
      <c r="H43" s="51">
        <f t="shared" si="2"/>
        <v>142.60000000000005</v>
      </c>
      <c r="I43" s="51">
        <f t="shared" si="1"/>
        <v>694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2579.3</v>
      </c>
      <c r="C45" s="50">
        <v>7741.6</v>
      </c>
      <c r="D45" s="51">
        <f>224.1+260.8+14.4+236.4+3.2+114.6+291.3+0.1+96+241.4+13.4+0.1+331+0.7-0.1</f>
        <v>1827.4</v>
      </c>
      <c r="E45" s="3">
        <f>D45/D149*100</f>
        <v>0.6533164730920774</v>
      </c>
      <c r="F45" s="3">
        <f>D45/B45*100</f>
        <v>70.84867987438453</v>
      </c>
      <c r="G45" s="3">
        <f aca="true" t="shared" si="4" ref="G45:G75">D45/C45*100</f>
        <v>23.604939547380386</v>
      </c>
      <c r="H45" s="51">
        <f>B45-D45</f>
        <v>751.9000000000001</v>
      </c>
      <c r="I45" s="51">
        <f aca="true" t="shared" si="5" ref="I45:I76">C45-D45</f>
        <v>5914.200000000001</v>
      </c>
    </row>
    <row r="46" spans="1:9" ht="18">
      <c r="A46" s="26" t="s">
        <v>3</v>
      </c>
      <c r="B46" s="46">
        <v>2139.9</v>
      </c>
      <c r="C46" s="47">
        <v>6753.6</v>
      </c>
      <c r="D46" s="48">
        <f>224.1+258.6+235.3+288.8+241.4+328.6</f>
        <v>1576.8000000000002</v>
      </c>
      <c r="E46" s="1">
        <f>D46/D45*100</f>
        <v>86.28652730655577</v>
      </c>
      <c r="F46" s="1">
        <f aca="true" t="shared" si="6" ref="F46:F73">D46/B46*100</f>
        <v>73.6856862470209</v>
      </c>
      <c r="G46" s="1">
        <f t="shared" si="4"/>
        <v>23.347547974413647</v>
      </c>
      <c r="H46" s="48">
        <f aca="true" t="shared" si="7" ref="H46:H73">B46-D46</f>
        <v>563.0999999999999</v>
      </c>
      <c r="I46" s="48">
        <f t="shared" si="5"/>
        <v>5176.8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0.043778045310276896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21.2</v>
      </c>
      <c r="C48" s="47">
        <v>70.7</v>
      </c>
      <c r="D48" s="48">
        <f>0.2+2.1+0.1+6.5</f>
        <v>8.9</v>
      </c>
      <c r="E48" s="1">
        <f>D48/D45*100</f>
        <v>0.4870307540768305</v>
      </c>
      <c r="F48" s="1">
        <f t="shared" si="6"/>
        <v>41.9811320754717</v>
      </c>
      <c r="G48" s="1">
        <f t="shared" si="4"/>
        <v>12.588401697312587</v>
      </c>
      <c r="H48" s="48">
        <f t="shared" si="7"/>
        <v>12.299999999999999</v>
      </c>
      <c r="I48" s="48">
        <f t="shared" si="5"/>
        <v>61.800000000000004</v>
      </c>
    </row>
    <row r="49" spans="1:9" ht="18">
      <c r="A49" s="26" t="s">
        <v>0</v>
      </c>
      <c r="B49" s="46">
        <v>311.5</v>
      </c>
      <c r="C49" s="47">
        <v>568.5</v>
      </c>
      <c r="D49" s="48">
        <f>2.2+2.5+0.8+112.4+2.2+0.1+69.1+4.4-0.1</f>
        <v>193.60000000000002</v>
      </c>
      <c r="E49" s="1">
        <f>D49/D45*100</f>
        <v>10.59428696508701</v>
      </c>
      <c r="F49" s="1">
        <f t="shared" si="6"/>
        <v>62.150882825040135</v>
      </c>
      <c r="G49" s="1">
        <f t="shared" si="4"/>
        <v>34.054529463500444</v>
      </c>
      <c r="H49" s="48">
        <f t="shared" si="7"/>
        <v>117.89999999999998</v>
      </c>
      <c r="I49" s="48">
        <f t="shared" si="5"/>
        <v>374.9</v>
      </c>
    </row>
    <row r="50" spans="1:9" ht="18.75" thickBot="1">
      <c r="A50" s="26" t="s">
        <v>34</v>
      </c>
      <c r="B50" s="47">
        <f>B45-B46-B49-B48-B47</f>
        <v>105.90000000000009</v>
      </c>
      <c r="C50" s="47">
        <f>C45-C46-C49-C48-C47</f>
        <v>347.5</v>
      </c>
      <c r="D50" s="47">
        <f>D45-D46-D49-D48-D47</f>
        <v>47.29999999999989</v>
      </c>
      <c r="E50" s="1">
        <f>D50/D45*100</f>
        <v>2.5883769289701153</v>
      </c>
      <c r="F50" s="1">
        <f t="shared" si="6"/>
        <v>44.66477809253999</v>
      </c>
      <c r="G50" s="1">
        <f t="shared" si="4"/>
        <v>13.611510791366873</v>
      </c>
      <c r="H50" s="48">
        <f t="shared" si="7"/>
        <v>58.6000000000002</v>
      </c>
      <c r="I50" s="48">
        <f t="shared" si="5"/>
        <v>300.2000000000001</v>
      </c>
    </row>
    <row r="51" spans="1:9" ht="18.75" thickBot="1">
      <c r="A51" s="25" t="s">
        <v>4</v>
      </c>
      <c r="B51" s="49">
        <v>5297.9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</f>
        <v>3271.9</v>
      </c>
      <c r="E51" s="3">
        <f>D51/D149*100</f>
        <v>1.1697418016361867</v>
      </c>
      <c r="F51" s="3">
        <f>D51/B51*100</f>
        <v>61.758432586496546</v>
      </c>
      <c r="G51" s="3">
        <f t="shared" si="4"/>
        <v>20.30659425911559</v>
      </c>
      <c r="H51" s="51">
        <f>B51-D51</f>
        <v>2025.9999999999995</v>
      </c>
      <c r="I51" s="51">
        <f t="shared" si="5"/>
        <v>12840.6</v>
      </c>
    </row>
    <row r="52" spans="1:9" ht="18">
      <c r="A52" s="26" t="s">
        <v>3</v>
      </c>
      <c r="B52" s="46">
        <v>3046.7</v>
      </c>
      <c r="C52" s="47">
        <v>10328.7</v>
      </c>
      <c r="D52" s="48">
        <f>8+294.9+437.7+298.5+423.7+297.9+451.2</f>
        <v>2211.8999999999996</v>
      </c>
      <c r="E52" s="1">
        <f>D52/D51*100</f>
        <v>67.60292184968976</v>
      </c>
      <c r="F52" s="1">
        <f t="shared" si="6"/>
        <v>72.59986214592837</v>
      </c>
      <c r="G52" s="1">
        <f t="shared" si="4"/>
        <v>21.41508611925992</v>
      </c>
      <c r="H52" s="48">
        <f t="shared" si="7"/>
        <v>834.8000000000002</v>
      </c>
      <c r="I52" s="48">
        <f t="shared" si="5"/>
        <v>8116.800000000001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87.8</v>
      </c>
      <c r="C54" s="47">
        <v>287</v>
      </c>
      <c r="D54" s="48">
        <f>1.3+0.7+2.1+1+1.3+7.6+7.5+6.3+0.4</f>
        <v>28.2</v>
      </c>
      <c r="E54" s="1">
        <f>D54/D51*100</f>
        <v>0.8618845319233472</v>
      </c>
      <c r="F54" s="1">
        <f t="shared" si="6"/>
        <v>32.11845102505695</v>
      </c>
      <c r="G54" s="1">
        <f t="shared" si="4"/>
        <v>9.825783972125436</v>
      </c>
      <c r="H54" s="48">
        <f t="shared" si="7"/>
        <v>59.599999999999994</v>
      </c>
      <c r="I54" s="48">
        <f t="shared" si="5"/>
        <v>258.8</v>
      </c>
    </row>
    <row r="55" spans="1:9" ht="18">
      <c r="A55" s="26" t="s">
        <v>0</v>
      </c>
      <c r="B55" s="46">
        <v>461.6</v>
      </c>
      <c r="C55" s="47">
        <v>933.1</v>
      </c>
      <c r="D55" s="48">
        <f>10.7+0.6+7.6+85.1+28.4+14.4+0.1+8.5+0.1+7+0.1+7.7+62.8+6+1.3+0.9+0.9+1+0.7+0.1+4.7</f>
        <v>248.69999999999996</v>
      </c>
      <c r="E55" s="1">
        <f>D55/D51*100</f>
        <v>7.601088052813348</v>
      </c>
      <c r="F55" s="1">
        <f t="shared" si="6"/>
        <v>53.87781629116116</v>
      </c>
      <c r="G55" s="1">
        <f t="shared" si="4"/>
        <v>26.653091844389664</v>
      </c>
      <c r="H55" s="48">
        <f t="shared" si="7"/>
        <v>212.90000000000006</v>
      </c>
      <c r="I55" s="48">
        <f t="shared" si="5"/>
        <v>684.4000000000001</v>
      </c>
    </row>
    <row r="56" spans="1:9" ht="18.75" thickBot="1">
      <c r="A56" s="26" t="s">
        <v>34</v>
      </c>
      <c r="B56" s="47">
        <f>B51-B52-B55-B54-B53</f>
        <v>1701.8</v>
      </c>
      <c r="C56" s="47">
        <f>C51-C52-C55-C54-C53</f>
        <v>4551.699999999999</v>
      </c>
      <c r="D56" s="47">
        <f>D51-D52-D55-D54-D53</f>
        <v>783.1000000000005</v>
      </c>
      <c r="E56" s="1">
        <f>D56/D51*100</f>
        <v>23.934105565573535</v>
      </c>
      <c r="F56" s="1">
        <f t="shared" si="6"/>
        <v>46.0159830767423</v>
      </c>
      <c r="G56" s="1">
        <f t="shared" si="4"/>
        <v>17.20456093327769</v>
      </c>
      <c r="H56" s="48">
        <f t="shared" si="7"/>
        <v>918.6999999999995</v>
      </c>
      <c r="I56" s="48">
        <f>C56-D56</f>
        <v>3768.5999999999985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f>826.3+49.9</f>
        <v>876.1999999999999</v>
      </c>
      <c r="C58" s="50">
        <f>5881.8+134.4</f>
        <v>6016.2</v>
      </c>
      <c r="D58" s="51">
        <f>43.5+4.7+72.8+47.2+46+5+62.5+3.8+40.9+35.3+2.1+2.9+21.1+3.9+86.8+0.2+2.7</f>
        <v>481.4</v>
      </c>
      <c r="E58" s="3">
        <f>D58/D149*100</f>
        <v>0.1721060250336686</v>
      </c>
      <c r="F58" s="3">
        <f>D58/B58*100</f>
        <v>54.941794110933586</v>
      </c>
      <c r="G58" s="3">
        <f t="shared" si="4"/>
        <v>8.001728665935309</v>
      </c>
      <c r="H58" s="51">
        <f>B58-D58</f>
        <v>394.79999999999995</v>
      </c>
      <c r="I58" s="51">
        <f t="shared" si="5"/>
        <v>5534.8</v>
      </c>
    </row>
    <row r="59" spans="1:9" ht="18">
      <c r="A59" s="26" t="s">
        <v>3</v>
      </c>
      <c r="B59" s="46">
        <f>475.4+49.9</f>
        <v>525.3</v>
      </c>
      <c r="C59" s="47">
        <f>1508.2+134.4</f>
        <v>1642.6000000000001</v>
      </c>
      <c r="D59" s="48">
        <f>43.5+72.8+47.2+62.5+0.1+35.3+86.8</f>
        <v>348.2</v>
      </c>
      <c r="E59" s="1">
        <f>D59/D58*100</f>
        <v>72.33070211882011</v>
      </c>
      <c r="F59" s="1">
        <f t="shared" si="6"/>
        <v>66.28593184846756</v>
      </c>
      <c r="G59" s="1">
        <f t="shared" si="4"/>
        <v>21.19810057226348</v>
      </c>
      <c r="H59" s="48">
        <f t="shared" si="7"/>
        <v>177.09999999999997</v>
      </c>
      <c r="I59" s="48">
        <f t="shared" si="5"/>
        <v>1294.4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307</v>
      </c>
      <c r="C61" s="47">
        <v>627.5</v>
      </c>
      <c r="D61" s="48">
        <f>4.7+45.7+4.9+40.9+19.8+3.9</f>
        <v>119.9</v>
      </c>
      <c r="E61" s="1">
        <f>D61/D58*100</f>
        <v>24.906522642293314</v>
      </c>
      <c r="F61" s="1">
        <f t="shared" si="6"/>
        <v>39.05537459283388</v>
      </c>
      <c r="G61" s="1">
        <f t="shared" si="4"/>
        <v>19.10756972111554</v>
      </c>
      <c r="H61" s="48">
        <f t="shared" si="7"/>
        <v>187.1</v>
      </c>
      <c r="I61" s="48">
        <f t="shared" si="5"/>
        <v>507.6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43.89999999999998</v>
      </c>
      <c r="C63" s="47">
        <f>C58-C59-C61-C62-C60</f>
        <v>198.09999999999962</v>
      </c>
      <c r="D63" s="47">
        <f>D58-D59-D61-D62-D60</f>
        <v>13.299999999999983</v>
      </c>
      <c r="E63" s="1">
        <f>D63/D58*100</f>
        <v>2.7627752388865776</v>
      </c>
      <c r="F63" s="1">
        <f t="shared" si="6"/>
        <v>30.296127562642344</v>
      </c>
      <c r="G63" s="1">
        <f t="shared" si="4"/>
        <v>6.71378091872792</v>
      </c>
      <c r="H63" s="48">
        <f t="shared" si="7"/>
        <v>30.599999999999994</v>
      </c>
      <c r="I63" s="48">
        <f t="shared" si="5"/>
        <v>184.79999999999964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206.7</v>
      </c>
      <c r="C68" s="50">
        <f>C69+C70</f>
        <v>563.4</v>
      </c>
      <c r="D68" s="51">
        <f>SUM(D69:D70)</f>
        <v>90.2</v>
      </c>
      <c r="E68" s="39">
        <f>D68/D149*100</f>
        <v>0.032247535226499605</v>
      </c>
      <c r="F68" s="3">
        <f>D68/B68*100</f>
        <v>43.638122883405906</v>
      </c>
      <c r="G68" s="3">
        <f t="shared" si="4"/>
        <v>16.009939652112177</v>
      </c>
      <c r="H68" s="51">
        <f>B68-D68</f>
        <v>116.49999999999999</v>
      </c>
      <c r="I68" s="51">
        <f t="shared" si="5"/>
        <v>473.2</v>
      </c>
    </row>
    <row r="69" spans="1:9" ht="18">
      <c r="A69" s="26" t="s">
        <v>8</v>
      </c>
      <c r="B69" s="46">
        <v>96.6</v>
      </c>
      <c r="C69" s="47">
        <v>171</v>
      </c>
      <c r="D69" s="48">
        <f>3.9+1+3+8.8+1.5+9.8+5+38.4+18.8</f>
        <v>90.2</v>
      </c>
      <c r="E69" s="1">
        <f>D69/D68*100</f>
        <v>100</v>
      </c>
      <c r="F69" s="1">
        <f t="shared" si="6"/>
        <v>93.37474120082817</v>
      </c>
      <c r="G69" s="1">
        <f t="shared" si="4"/>
        <v>52.74853801169591</v>
      </c>
      <c r="H69" s="48">
        <f t="shared" si="7"/>
        <v>6.3999999999999915</v>
      </c>
      <c r="I69" s="48">
        <f t="shared" si="5"/>
        <v>80.8</v>
      </c>
    </row>
    <row r="70" spans="1:9" ht="18.75" thickBot="1">
      <c r="A70" s="26" t="s">
        <v>9</v>
      </c>
      <c r="B70" s="46">
        <f>76.4+33.7</f>
        <v>110.10000000000001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110.10000000000001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3333.3</v>
      </c>
      <c r="C76" s="66">
        <v>10000</v>
      </c>
      <c r="D76" s="67"/>
      <c r="E76" s="45"/>
      <c r="F76" s="45"/>
      <c r="G76" s="45"/>
      <c r="H76" s="67">
        <f>B76-D76</f>
        <v>3333.3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21169.9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</f>
        <v>13545.7</v>
      </c>
      <c r="E89" s="3">
        <f>D89/D149*100</f>
        <v>4.842743214164033</v>
      </c>
      <c r="F89" s="3">
        <f aca="true" t="shared" si="10" ref="F89:F95">D89/B89*100</f>
        <v>63.985658883603605</v>
      </c>
      <c r="G89" s="3">
        <f t="shared" si="8"/>
        <v>24.161783723522856</v>
      </c>
      <c r="H89" s="51">
        <f aca="true" t="shared" si="11" ref="H89:H95">B89-D89</f>
        <v>7624.200000000001</v>
      </c>
      <c r="I89" s="51">
        <f t="shared" si="9"/>
        <v>42516.8</v>
      </c>
    </row>
    <row r="90" spans="1:9" ht="18">
      <c r="A90" s="26" t="s">
        <v>3</v>
      </c>
      <c r="B90" s="46">
        <v>17909.8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</f>
        <v>12217.199999999999</v>
      </c>
      <c r="E90" s="1">
        <f>D90/D89*100</f>
        <v>90.19245959972537</v>
      </c>
      <c r="F90" s="1">
        <f t="shared" si="10"/>
        <v>68.21516711521066</v>
      </c>
      <c r="G90" s="1">
        <f t="shared" si="8"/>
        <v>25.660510513348832</v>
      </c>
      <c r="H90" s="48">
        <f t="shared" si="11"/>
        <v>5692.6</v>
      </c>
      <c r="I90" s="48">
        <f t="shared" si="9"/>
        <v>35393.700000000004</v>
      </c>
    </row>
    <row r="91" spans="1:9" ht="18">
      <c r="A91" s="26" t="s">
        <v>32</v>
      </c>
      <c r="B91" s="46">
        <v>1196.9</v>
      </c>
      <c r="C91" s="47">
        <v>2476</v>
      </c>
      <c r="D91" s="48">
        <f>9.8+96.8+35.3+50.2+1.4+30+1.1+18.1+138.1+43.8+4.2+9.3+27.5+5.8+0.2+2.4</f>
        <v>473.99999999999994</v>
      </c>
      <c r="E91" s="1">
        <f>D91/D89*100</f>
        <v>3.4992654495522557</v>
      </c>
      <c r="F91" s="1">
        <f t="shared" si="10"/>
        <v>39.60230595705572</v>
      </c>
      <c r="G91" s="1">
        <f t="shared" si="8"/>
        <v>19.143780290791597</v>
      </c>
      <c r="H91" s="48">
        <f t="shared" si="11"/>
        <v>722.9000000000001</v>
      </c>
      <c r="I91" s="48">
        <f t="shared" si="9"/>
        <v>2002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2063.200000000002</v>
      </c>
      <c r="C93" s="47">
        <f>C89-C90-C91-C92</f>
        <v>5975.5999999999985</v>
      </c>
      <c r="D93" s="47">
        <f>D89-D90-D91-D92</f>
        <v>854.5000000000018</v>
      </c>
      <c r="E93" s="1">
        <f>D93/D89*100</f>
        <v>6.3082749507223825</v>
      </c>
      <c r="F93" s="1">
        <f t="shared" si="10"/>
        <v>41.416246607212145</v>
      </c>
      <c r="G93" s="1">
        <f>D93/C93*100</f>
        <v>14.29981926501108</v>
      </c>
      <c r="H93" s="48">
        <f t="shared" si="11"/>
        <v>1208.7000000000003</v>
      </c>
      <c r="I93" s="48">
        <f>C93-D93</f>
        <v>5121.099999999997</v>
      </c>
    </row>
    <row r="94" spans="1:9" ht="18.75">
      <c r="A94" s="116" t="s">
        <v>12</v>
      </c>
      <c r="B94" s="119">
        <f>31318.1+5000</f>
        <v>36318.1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</f>
        <v>25992.399999999998</v>
      </c>
      <c r="E94" s="115">
        <f>D94/D149*100</f>
        <v>9.292581315091665</v>
      </c>
      <c r="F94" s="118">
        <f t="shared" si="10"/>
        <v>71.5687219320394</v>
      </c>
      <c r="G94" s="114">
        <f>D94/C94*100</f>
        <v>32.684071412943155</v>
      </c>
      <c r="H94" s="120">
        <f t="shared" si="11"/>
        <v>10325.7</v>
      </c>
      <c r="I94" s="130">
        <f>C94-D94</f>
        <v>53533.8</v>
      </c>
    </row>
    <row r="95" spans="1:9" ht="18.75" thickBot="1">
      <c r="A95" s="117" t="s">
        <v>100</v>
      </c>
      <c r="B95" s="122">
        <v>1770</v>
      </c>
      <c r="C95" s="123">
        <v>5343.5</v>
      </c>
      <c r="D95" s="124">
        <f>57.3+368.5+61.1+0.1+320+59+0.8+309</f>
        <v>1175.8</v>
      </c>
      <c r="E95" s="125">
        <f>D95/D94*100</f>
        <v>4.523629984149213</v>
      </c>
      <c r="F95" s="126">
        <f t="shared" si="10"/>
        <v>66.42937853107344</v>
      </c>
      <c r="G95" s="127">
        <f>D95/C95*100</f>
        <v>22.004304294937775</v>
      </c>
      <c r="H95" s="131">
        <f t="shared" si="11"/>
        <v>594.2</v>
      </c>
      <c r="I95" s="132">
        <f>C95-D95</f>
        <v>4167.7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f>3520.9-42.7</f>
        <v>3478.2000000000003</v>
      </c>
      <c r="C101" s="100">
        <f>10703.3-154</f>
        <v>10549.3</v>
      </c>
      <c r="D101" s="87">
        <f>40+388.7+47.5+2+10.9+26+40+10.7+4.9+126.7+451+1.9+19.2+1.6+31.5+41+134.3+2+40+303.9+42.9+136.5+32.6+15.2+0.1+18+62.7</f>
        <v>2031.8000000000002</v>
      </c>
      <c r="E101" s="22">
        <f>D101/D149*100</f>
        <v>0.7263918189933691</v>
      </c>
      <c r="F101" s="22">
        <f>D101/B101*100</f>
        <v>58.415272267264676</v>
      </c>
      <c r="G101" s="22">
        <f aca="true" t="shared" si="12" ref="G101:G147">D101/C101*100</f>
        <v>19.260045690235376</v>
      </c>
      <c r="H101" s="87">
        <f aca="true" t="shared" si="13" ref="H101:H106">B101-D101</f>
        <v>1446.4</v>
      </c>
      <c r="I101" s="87">
        <f aca="true" t="shared" si="14" ref="I101:I147">C101-D101</f>
        <v>8517.5</v>
      </c>
    </row>
    <row r="102" spans="1:9" ht="18">
      <c r="A102" s="26" t="s">
        <v>3</v>
      </c>
      <c r="B102" s="97">
        <v>29.6</v>
      </c>
      <c r="C102" s="95">
        <v>187.6</v>
      </c>
      <c r="D102" s="95"/>
      <c r="E102" s="91">
        <f>D102/D101*100</f>
        <v>0</v>
      </c>
      <c r="F102" s="111">
        <f>D102/B102*100</f>
        <v>0</v>
      </c>
      <c r="G102" s="91">
        <f>D102/C102*100</f>
        <v>0</v>
      </c>
      <c r="H102" s="95">
        <f t="shared" si="13"/>
        <v>29.6</v>
      </c>
      <c r="I102" s="95">
        <f t="shared" si="14"/>
        <v>187.6</v>
      </c>
    </row>
    <row r="103" spans="1:9" ht="18">
      <c r="A103" s="93" t="s">
        <v>60</v>
      </c>
      <c r="B103" s="78">
        <f>2969.7-42.7</f>
        <v>2927</v>
      </c>
      <c r="C103" s="48">
        <f>8863.3-154</f>
        <v>8709.3</v>
      </c>
      <c r="D103" s="48">
        <f>39.8+388.5+20.6+2+26+40+4.1+126.5+407.9+18+31.2+40.6+134.1+2+40+303.9+135.8+32.6+7.9+0.1+62.1</f>
        <v>1863.6999999999996</v>
      </c>
      <c r="E103" s="1">
        <f>D103/D101*100</f>
        <v>91.72654788857169</v>
      </c>
      <c r="F103" s="1">
        <f aca="true" t="shared" si="15" ref="F103:F147">D103/B103*100</f>
        <v>63.67270242569182</v>
      </c>
      <c r="G103" s="1">
        <f t="shared" si="12"/>
        <v>21.39896432549114</v>
      </c>
      <c r="H103" s="48">
        <f t="shared" si="13"/>
        <v>1063.3000000000004</v>
      </c>
      <c r="I103" s="48">
        <f t="shared" si="14"/>
        <v>6845.599999999999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521.6000000000004</v>
      </c>
      <c r="C105" s="96">
        <f>C101-C102-C103</f>
        <v>1652.3999999999996</v>
      </c>
      <c r="D105" s="96">
        <f>D101-D102-D103</f>
        <v>168.1000000000006</v>
      </c>
      <c r="E105" s="92">
        <f>D105/D101*100</f>
        <v>8.273452111428318</v>
      </c>
      <c r="F105" s="92">
        <f t="shared" si="15"/>
        <v>32.22776073619641</v>
      </c>
      <c r="G105" s="92">
        <f t="shared" si="12"/>
        <v>10.173081578310375</v>
      </c>
      <c r="H105" s="132">
        <f>B105-D105</f>
        <v>353.4999999999998</v>
      </c>
      <c r="I105" s="132">
        <f t="shared" si="14"/>
        <v>1484.299999999999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114829.2</v>
      </c>
      <c r="C106" s="89">
        <f>SUM(C107:C146)-C114-C118+C147-C138-C139-C108-C111-C121-C122-C136-C130-C128</f>
        <v>466340.3</v>
      </c>
      <c r="D106" s="89">
        <f>SUM(D107:D146)-D114-D118+D147-D138-D139-D108-D111-D121-D122-D136-D130-D128</f>
        <v>60462.3</v>
      </c>
      <c r="E106" s="90">
        <f>D106/D149*100</f>
        <v>21.61596617655418</v>
      </c>
      <c r="F106" s="90">
        <f>D106/B106*100</f>
        <v>52.65411585206551</v>
      </c>
      <c r="G106" s="90">
        <f t="shared" si="12"/>
        <v>12.965274500187954</v>
      </c>
      <c r="H106" s="89">
        <f t="shared" si="13"/>
        <v>54366.899999999994</v>
      </c>
      <c r="I106" s="89">
        <f t="shared" si="14"/>
        <v>405878</v>
      </c>
    </row>
    <row r="107" spans="1:9" ht="37.5">
      <c r="A107" s="31" t="s">
        <v>64</v>
      </c>
      <c r="B107" s="75">
        <v>887.3</v>
      </c>
      <c r="C107" s="71">
        <v>2166.2</v>
      </c>
      <c r="D107" s="76">
        <f>142.7+0.9+78.6+37.4+44.2+140.1+1+20.9+25.7</f>
        <v>491.49999999999994</v>
      </c>
      <c r="E107" s="6">
        <f>D107/D106*100</f>
        <v>0.8129032471473958</v>
      </c>
      <c r="F107" s="6">
        <f t="shared" si="15"/>
        <v>55.39276456666291</v>
      </c>
      <c r="G107" s="6">
        <f t="shared" si="12"/>
        <v>22.689502354353245</v>
      </c>
      <c r="H107" s="65">
        <f aca="true" t="shared" si="16" ref="H107:H147">B107-D107</f>
        <v>395.8</v>
      </c>
      <c r="I107" s="65">
        <f t="shared" si="14"/>
        <v>1674.6999999999998</v>
      </c>
    </row>
    <row r="108" spans="1:9" ht="18">
      <c r="A108" s="26" t="s">
        <v>32</v>
      </c>
      <c r="B108" s="78">
        <v>544.4</v>
      </c>
      <c r="C108" s="48">
        <v>1213.5</v>
      </c>
      <c r="D108" s="79">
        <f>142.7+0.9+78.6+37.4+20.9</f>
        <v>280.49999999999994</v>
      </c>
      <c r="E108" s="1">
        <f>D108/D107*100</f>
        <v>57.0701932858596</v>
      </c>
      <c r="F108" s="1">
        <f t="shared" si="15"/>
        <v>51.52461425422482</v>
      </c>
      <c r="G108" s="1">
        <f t="shared" si="12"/>
        <v>23.114956736711985</v>
      </c>
      <c r="H108" s="48">
        <f t="shared" si="16"/>
        <v>263.90000000000003</v>
      </c>
      <c r="I108" s="48">
        <f t="shared" si="14"/>
        <v>933</v>
      </c>
    </row>
    <row r="109" spans="1:9" ht="34.5" customHeight="1">
      <c r="A109" s="16" t="s">
        <v>95</v>
      </c>
      <c r="B109" s="77">
        <v>141.1</v>
      </c>
      <c r="C109" s="65">
        <v>778.3</v>
      </c>
      <c r="D109" s="76">
        <f>26.5+20.2+7.7+37.4+7.5</f>
        <v>99.30000000000001</v>
      </c>
      <c r="E109" s="6">
        <f>D109/D106*100</f>
        <v>0.1642345726179785</v>
      </c>
      <c r="F109" s="6">
        <f>D109/B109*100</f>
        <v>70.37562012756912</v>
      </c>
      <c r="G109" s="6">
        <f t="shared" si="12"/>
        <v>12.7585763844276</v>
      </c>
      <c r="H109" s="65">
        <f t="shared" si="16"/>
        <v>41.79999999999998</v>
      </c>
      <c r="I109" s="65">
        <f t="shared" si="14"/>
        <v>679</v>
      </c>
    </row>
    <row r="110" spans="1:9" s="41" customFormat="1" ht="34.5" customHeight="1">
      <c r="A110" s="16" t="s">
        <v>71</v>
      </c>
      <c r="B110" s="77">
        <v>38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10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10</v>
      </c>
      <c r="I112" s="65">
        <f t="shared" si="14"/>
        <v>50</v>
      </c>
    </row>
    <row r="113" spans="1:9" ht="37.5">
      <c r="A113" s="16" t="s">
        <v>46</v>
      </c>
      <c r="B113" s="77">
        <v>648.2</v>
      </c>
      <c r="C113" s="65">
        <v>1795.8</v>
      </c>
      <c r="D113" s="76">
        <f>82.2+4.4+0.2+16.8+100.8+0.1+8.3+21.3+93.2</f>
        <v>327.3</v>
      </c>
      <c r="E113" s="6">
        <f>D113/D106*100</f>
        <v>0.5413290595958142</v>
      </c>
      <c r="F113" s="6">
        <f t="shared" si="15"/>
        <v>50.493674791730946</v>
      </c>
      <c r="G113" s="6">
        <f t="shared" si="12"/>
        <v>18.22586034079519</v>
      </c>
      <c r="H113" s="65">
        <f t="shared" si="16"/>
        <v>320.90000000000003</v>
      </c>
      <c r="I113" s="65">
        <f t="shared" si="14"/>
        <v>1468.5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23.2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23.2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84.9</v>
      </c>
      <c r="C117" s="57">
        <v>229.6</v>
      </c>
      <c r="D117" s="76">
        <f>17.1-0.3+0.8+0.3+21.4+4.2+0.3+17.6</f>
        <v>61.4</v>
      </c>
      <c r="E117" s="6">
        <f>D117/D106*100</f>
        <v>0.10155088377385577</v>
      </c>
      <c r="F117" s="6">
        <f t="shared" si="15"/>
        <v>72.32037691401648</v>
      </c>
      <c r="G117" s="6">
        <f t="shared" si="12"/>
        <v>26.742160278745647</v>
      </c>
      <c r="H117" s="65">
        <f t="shared" si="16"/>
        <v>23.500000000000007</v>
      </c>
      <c r="I117" s="65">
        <f t="shared" si="14"/>
        <v>168.2</v>
      </c>
    </row>
    <row r="118" spans="1:9" s="36" customFormat="1" ht="18">
      <c r="A118" s="37" t="s">
        <v>53</v>
      </c>
      <c r="B118" s="78">
        <v>67.2</v>
      </c>
      <c r="C118" s="48">
        <v>170.2</v>
      </c>
      <c r="D118" s="79">
        <f>17.1-0.3+16.8+16.8</f>
        <v>50.400000000000006</v>
      </c>
      <c r="E118" s="1">
        <f>D118/D117*100</f>
        <v>82.08469055374594</v>
      </c>
      <c r="F118" s="1">
        <f t="shared" si="15"/>
        <v>75</v>
      </c>
      <c r="G118" s="1">
        <f t="shared" si="12"/>
        <v>29.61222091656875</v>
      </c>
      <c r="H118" s="48">
        <f t="shared" si="16"/>
        <v>16.799999999999997</v>
      </c>
      <c r="I118" s="48">
        <f t="shared" si="14"/>
        <v>119.79999999999998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580.7</v>
      </c>
    </row>
    <row r="121" spans="1:9" s="110" customFormat="1" ht="18" hidden="1">
      <c r="A121" s="26" t="s">
        <v>97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5174.5</v>
      </c>
      <c r="C123" s="57">
        <f>5096.9+1707.5</f>
        <v>6804.4</v>
      </c>
      <c r="D123" s="80">
        <f>3776+7.6+1124+100+14.3</f>
        <v>5021.900000000001</v>
      </c>
      <c r="E123" s="17">
        <f>D123/D106*100</f>
        <v>8.305836860324533</v>
      </c>
      <c r="F123" s="6">
        <f t="shared" si="15"/>
        <v>97.05092279447291</v>
      </c>
      <c r="G123" s="6">
        <f t="shared" si="12"/>
        <v>73.80371524307802</v>
      </c>
      <c r="H123" s="65">
        <f t="shared" si="16"/>
        <v>152.59999999999945</v>
      </c>
      <c r="I123" s="65">
        <f t="shared" si="14"/>
        <v>1782.499999999999</v>
      </c>
    </row>
    <row r="124" spans="1:9" s="2" customFormat="1" ht="18.75">
      <c r="A124" s="16" t="s">
        <v>118</v>
      </c>
      <c r="B124" s="77">
        <v>0</v>
      </c>
      <c r="C124" s="57">
        <v>1239</v>
      </c>
      <c r="D124" s="80"/>
      <c r="E124" s="17">
        <f>D124/D106*100</f>
        <v>0</v>
      </c>
      <c r="F124" s="133" t="e">
        <f t="shared" si="15"/>
        <v>#DIV/0!</v>
      </c>
      <c r="G124" s="6">
        <f t="shared" si="12"/>
        <v>0</v>
      </c>
      <c r="H124" s="65">
        <f t="shared" si="16"/>
        <v>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0.03754405637893365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273.3</v>
      </c>
      <c r="C127" s="57">
        <v>983</v>
      </c>
      <c r="D127" s="80">
        <f>2.8+14.4+2.8+8.8+3.7+4+2.8+5.8</f>
        <v>45.099999999999994</v>
      </c>
      <c r="E127" s="17">
        <f>D127/D106*100</f>
        <v>0.07459193580131751</v>
      </c>
      <c r="F127" s="6">
        <f t="shared" si="15"/>
        <v>16.502012440541527</v>
      </c>
      <c r="G127" s="6">
        <f t="shared" si="12"/>
        <v>4.5879959308240075</v>
      </c>
      <c r="H127" s="65">
        <f t="shared" si="16"/>
        <v>228.20000000000002</v>
      </c>
      <c r="I127" s="65">
        <f t="shared" si="14"/>
        <v>937.9</v>
      </c>
    </row>
    <row r="128" spans="1:9" s="36" customFormat="1" ht="18">
      <c r="A128" s="26" t="s">
        <v>111</v>
      </c>
      <c r="B128" s="78">
        <v>234.4</v>
      </c>
      <c r="C128" s="48">
        <v>851.8</v>
      </c>
      <c r="D128" s="79">
        <f>2.8+2.8-0.1+2.8</f>
        <v>8.3</v>
      </c>
      <c r="E128" s="1">
        <f>D128/D127*100</f>
        <v>18.403547671840357</v>
      </c>
      <c r="F128" s="1">
        <f>D128/B128*100</f>
        <v>3.540955631399317</v>
      </c>
      <c r="G128" s="1">
        <f t="shared" si="12"/>
        <v>0.9744071378257809</v>
      </c>
      <c r="H128" s="48">
        <f t="shared" si="16"/>
        <v>226.1</v>
      </c>
      <c r="I128" s="48">
        <f t="shared" si="14"/>
        <v>843.5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24.1</v>
      </c>
      <c r="C131" s="57">
        <v>64.1</v>
      </c>
      <c r="D131" s="80">
        <f>0.8</f>
        <v>0.8</v>
      </c>
      <c r="E131" s="17">
        <f>D131/D106*100</f>
        <v>0.0013231385507994238</v>
      </c>
      <c r="F131" s="6">
        <f t="shared" si="15"/>
        <v>3.319502074688797</v>
      </c>
      <c r="G131" s="6">
        <f t="shared" si="12"/>
        <v>1.2480499219968801</v>
      </c>
      <c r="H131" s="65">
        <f t="shared" si="16"/>
        <v>23.3</v>
      </c>
      <c r="I131" s="65">
        <f t="shared" si="14"/>
        <v>63.3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169.2</v>
      </c>
      <c r="C133" s="57">
        <v>600</v>
      </c>
      <c r="D133" s="80">
        <f>0.8+5+0.9+2.6-0.1</f>
        <v>9.200000000000001</v>
      </c>
      <c r="E133" s="17">
        <f>D133/D106*100</f>
        <v>0.015216093334193374</v>
      </c>
      <c r="F133" s="6">
        <f t="shared" si="15"/>
        <v>5.437352245862885</v>
      </c>
      <c r="G133" s="6">
        <f t="shared" si="12"/>
        <v>1.5333333333333337</v>
      </c>
      <c r="H133" s="65">
        <f t="shared" si="16"/>
        <v>160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158.7</v>
      </c>
      <c r="C135" s="57">
        <v>363.7</v>
      </c>
      <c r="D135" s="80">
        <f>5.2+0.3+2.7+0.1+0.5+0.2+13.8</f>
        <v>22.799999999999997</v>
      </c>
      <c r="E135" s="17">
        <f>D135/D106*100</f>
        <v>0.037709448697783574</v>
      </c>
      <c r="F135" s="6">
        <f t="shared" si="15"/>
        <v>14.36672967863894</v>
      </c>
      <c r="G135" s="6">
        <f>D135/C135*100</f>
        <v>6.268902941985152</v>
      </c>
      <c r="H135" s="65">
        <f t="shared" si="16"/>
        <v>135.89999999999998</v>
      </c>
      <c r="I135" s="65">
        <f t="shared" si="14"/>
        <v>340.9</v>
      </c>
    </row>
    <row r="136" spans="1:9" s="36" customFormat="1" ht="18">
      <c r="A136" s="26" t="s">
        <v>32</v>
      </c>
      <c r="B136" s="78">
        <v>111.1</v>
      </c>
      <c r="C136" s="48">
        <v>218.8</v>
      </c>
      <c r="D136" s="79">
        <f>0.3</f>
        <v>0.3</v>
      </c>
      <c r="E136" s="111">
        <f>D136/D135*100</f>
        <v>1.3157894736842106</v>
      </c>
      <c r="F136" s="1">
        <f t="shared" si="15"/>
        <v>0.27002700270027</v>
      </c>
      <c r="G136" s="1">
        <f>D136/C136*100</f>
        <v>0.13711151736745886</v>
      </c>
      <c r="H136" s="48">
        <f t="shared" si="16"/>
        <v>110.8</v>
      </c>
      <c r="I136" s="48">
        <f t="shared" si="14"/>
        <v>218.5</v>
      </c>
    </row>
    <row r="137" spans="1:9" s="2" customFormat="1" ht="18.75">
      <c r="A137" s="16" t="s">
        <v>31</v>
      </c>
      <c r="B137" s="77">
        <v>379.5</v>
      </c>
      <c r="C137" s="57">
        <v>1160.2</v>
      </c>
      <c r="D137" s="80">
        <f>26.5+42.3+30.1+3.6+8.6+42.3+0.1+5.7+31.9+5.2+42.5+11.7</f>
        <v>250.49999999999994</v>
      </c>
      <c r="E137" s="17">
        <f>D137/D106*100</f>
        <v>0.4143077587190695</v>
      </c>
      <c r="F137" s="6">
        <f t="shared" si="15"/>
        <v>66.00790513833991</v>
      </c>
      <c r="G137" s="6">
        <f t="shared" si="12"/>
        <v>21.59110498189967</v>
      </c>
      <c r="H137" s="65">
        <f t="shared" si="16"/>
        <v>129.00000000000006</v>
      </c>
      <c r="I137" s="65">
        <f t="shared" si="14"/>
        <v>909.7</v>
      </c>
    </row>
    <row r="138" spans="1:9" s="36" customFormat="1" ht="18">
      <c r="A138" s="37" t="s">
        <v>53</v>
      </c>
      <c r="B138" s="78">
        <v>290.5</v>
      </c>
      <c r="C138" s="48">
        <v>886.2</v>
      </c>
      <c r="D138" s="79">
        <f>26.5+39.8+30.1+42.1+0.1+31.9+40.5+11.2</f>
        <v>222.2</v>
      </c>
      <c r="E138" s="1">
        <f>D138/D137*100</f>
        <v>88.70259481037925</v>
      </c>
      <c r="F138" s="1">
        <f aca="true" t="shared" si="17" ref="F138:F146">D138/B138*100</f>
        <v>76.48881239242684</v>
      </c>
      <c r="G138" s="1">
        <f t="shared" si="12"/>
        <v>25.07334687429474</v>
      </c>
      <c r="H138" s="48">
        <f t="shared" si="16"/>
        <v>68.30000000000001</v>
      </c>
      <c r="I138" s="48">
        <f t="shared" si="14"/>
        <v>664</v>
      </c>
    </row>
    <row r="139" spans="1:9" s="36" customFormat="1" ht="18">
      <c r="A139" s="26" t="s">
        <v>32</v>
      </c>
      <c r="B139" s="78">
        <v>22.1</v>
      </c>
      <c r="C139" s="48">
        <v>39.3</v>
      </c>
      <c r="D139" s="79">
        <f>8.6+0.2+0.3+5.1+0.4</f>
        <v>14.6</v>
      </c>
      <c r="E139" s="1">
        <f>D139/D137*100</f>
        <v>5.828343313373255</v>
      </c>
      <c r="F139" s="1">
        <f t="shared" si="17"/>
        <v>66.06334841628959</v>
      </c>
      <c r="G139" s="1">
        <f>D139/C139*100</f>
        <v>37.150127226463106</v>
      </c>
      <c r="H139" s="48">
        <f t="shared" si="16"/>
        <v>7.500000000000002</v>
      </c>
      <c r="I139" s="48">
        <f t="shared" si="14"/>
        <v>24.699999999999996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/>
      <c r="E140" s="17">
        <f>D140/D106*100</f>
        <v>0</v>
      </c>
      <c r="F140" s="107">
        <f t="shared" si="17"/>
        <v>0</v>
      </c>
      <c r="G140" s="6">
        <f t="shared" si="12"/>
        <v>0</v>
      </c>
      <c r="H140" s="65">
        <f t="shared" si="16"/>
        <v>345</v>
      </c>
      <c r="I140" s="65">
        <f t="shared" si="14"/>
        <v>345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f>15612.8-2000</f>
        <v>13612.8</v>
      </c>
      <c r="C142" s="57">
        <f>16744+15000</f>
        <v>31744</v>
      </c>
      <c r="D142" s="80">
        <f>112.8+55.6+128.7+0.1+105.3+21.7+331.5+41.9+106.9+1197.5+64.4+33.5+768.6+5.6+65.8+1473</f>
        <v>4512.9</v>
      </c>
      <c r="E142" s="17">
        <f>D142/D106*100</f>
        <v>7.4639899573783985</v>
      </c>
      <c r="F142" s="107">
        <f t="shared" si="17"/>
        <v>33.15188645980254</v>
      </c>
      <c r="G142" s="6">
        <f t="shared" si="12"/>
        <v>14.216544858870966</v>
      </c>
      <c r="H142" s="65">
        <f t="shared" si="16"/>
        <v>9099.9</v>
      </c>
      <c r="I142" s="65">
        <f t="shared" si="14"/>
        <v>27231.1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2114.7</v>
      </c>
      <c r="C144" s="57">
        <v>6504.8</v>
      </c>
      <c r="D144" s="80">
        <f>2094</f>
        <v>2094</v>
      </c>
      <c r="E144" s="17">
        <f>D144/D106*100</f>
        <v>3.463315156717492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</f>
        <v>585.2</v>
      </c>
      <c r="E145" s="17">
        <f>D145/D106*100</f>
        <v>0.9678758499097785</v>
      </c>
      <c r="F145" s="107">
        <f t="shared" si="17"/>
        <v>97.09639953542393</v>
      </c>
      <c r="G145" s="6">
        <f t="shared" si="12"/>
        <v>97.09639953542393</v>
      </c>
      <c r="H145" s="65">
        <f t="shared" si="16"/>
        <v>17.5</v>
      </c>
      <c r="I145" s="65">
        <f t="shared" si="14"/>
        <v>17.5</v>
      </c>
      <c r="K145" s="42"/>
      <c r="L145" s="42"/>
    </row>
    <row r="146" spans="1:12" s="2" customFormat="1" ht="19.5" customHeight="1">
      <c r="A146" s="16" t="s">
        <v>62</v>
      </c>
      <c r="B146" s="77">
        <v>80247.9</v>
      </c>
      <c r="C146" s="57">
        <f>298394.8+81857.1-188.4</f>
        <v>380063.5</v>
      </c>
      <c r="D146" s="80">
        <f>26548.7+545.5+173+4155.7+7306.3+113.6+824.5</f>
        <v>39667.3</v>
      </c>
      <c r="E146" s="17">
        <f>D146/D106*100</f>
        <v>65.60666729515748</v>
      </c>
      <c r="F146" s="6">
        <f t="shared" si="17"/>
        <v>49.430950841081206</v>
      </c>
      <c r="G146" s="6">
        <f t="shared" si="12"/>
        <v>10.437019077075279</v>
      </c>
      <c r="H146" s="65">
        <f t="shared" si="16"/>
        <v>40580.59999999999</v>
      </c>
      <c r="I146" s="65">
        <f t="shared" si="14"/>
        <v>340396.2</v>
      </c>
      <c r="K146" s="99"/>
      <c r="L146" s="42"/>
    </row>
    <row r="147" spans="1:12" s="2" customFormat="1" ht="18.75">
      <c r="A147" s="16" t="s">
        <v>105</v>
      </c>
      <c r="B147" s="77">
        <v>9667.2</v>
      </c>
      <c r="C147" s="57">
        <v>29001.6</v>
      </c>
      <c r="D147" s="80">
        <f>805.6+805.6+805.6+805.6+805.6+805.6+805.6+805.6+805.6</f>
        <v>7250.4000000000015</v>
      </c>
      <c r="E147" s="17">
        <f>D147/D106*100</f>
        <v>11.99160468589518</v>
      </c>
      <c r="F147" s="6">
        <f t="shared" si="15"/>
        <v>75.00000000000001</v>
      </c>
      <c r="G147" s="6">
        <f t="shared" si="12"/>
        <v>25.000000000000007</v>
      </c>
      <c r="H147" s="65">
        <f t="shared" si="16"/>
        <v>2416.7999999999993</v>
      </c>
      <c r="I147" s="65">
        <f t="shared" si="14"/>
        <v>21751.199999999997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122195.5</v>
      </c>
      <c r="C148" s="81">
        <f>C43+C68+C71+C76+C78+C86+C101+C106+C99+C83+C97</f>
        <v>488352.5</v>
      </c>
      <c r="D148" s="57">
        <f>D43+D68+D71+D76+D78+D86+D101+D106+D99+D83+D97</f>
        <v>62789.8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438714.4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279711.30000000005</v>
      </c>
      <c r="E149" s="35">
        <v>100</v>
      </c>
      <c r="F149" s="3">
        <f>D149/B149*100</f>
        <v>63.75703646837214</v>
      </c>
      <c r="G149" s="3">
        <f aca="true" t="shared" si="18" ref="G149:G155">D149/C149*100</f>
        <v>20.162633870299455</v>
      </c>
      <c r="H149" s="51">
        <f aca="true" t="shared" si="19" ref="H149:H155">B149-D149</f>
        <v>159003.09999999998</v>
      </c>
      <c r="I149" s="51">
        <f aca="true" t="shared" si="20" ref="I149:I155">C149-D149</f>
        <v>1107564.3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188972.9</v>
      </c>
      <c r="C150" s="64">
        <f>C8+C20+C34+C52+C59+C90+C114+C118+C46+C138+C130+C102</f>
        <v>587319.2999999998</v>
      </c>
      <c r="D150" s="64">
        <f>D8+D20+D34+D52+D59+D90+D114+D118+D46+D138+D130+D102</f>
        <v>137110.69999999998</v>
      </c>
      <c r="E150" s="6">
        <f>D150/D149*100</f>
        <v>49.01864887117537</v>
      </c>
      <c r="F150" s="6">
        <f aca="true" t="shared" si="21" ref="F150:F161">D150/B150*100</f>
        <v>72.5557474114013</v>
      </c>
      <c r="G150" s="6">
        <f t="shared" si="18"/>
        <v>23.34517186818142</v>
      </c>
      <c r="H150" s="65">
        <f t="shared" si="19"/>
        <v>51862.20000000001</v>
      </c>
      <c r="I150" s="76">
        <f t="shared" si="20"/>
        <v>450208.59999999986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50042.50000000001</v>
      </c>
      <c r="C151" s="65">
        <f>C11+C23+C36+C55+C61+C91+C49+C139+C108+C111+C95+C136</f>
        <v>114263.80000000002</v>
      </c>
      <c r="D151" s="65">
        <f>D11+D23+D36+D55+D61+D91+D49+D139+D108+D111+D95+D136</f>
        <v>32033.3</v>
      </c>
      <c r="E151" s="6">
        <f>D151/D149*100</f>
        <v>11.452272396574608</v>
      </c>
      <c r="F151" s="6">
        <f t="shared" si="21"/>
        <v>64.012189638807</v>
      </c>
      <c r="G151" s="6">
        <f t="shared" si="18"/>
        <v>28.034513117890352</v>
      </c>
      <c r="H151" s="65">
        <f t="shared" si="19"/>
        <v>18009.200000000008</v>
      </c>
      <c r="I151" s="76">
        <f t="shared" si="20"/>
        <v>82230.50000000001</v>
      </c>
      <c r="K151" s="43"/>
      <c r="L151" s="98"/>
    </row>
    <row r="152" spans="1:12" ht="18.75">
      <c r="A152" s="20" t="s">
        <v>1</v>
      </c>
      <c r="B152" s="64">
        <f>B22+B10+B54+B48+B60+B35+B122</f>
        <v>14609.9</v>
      </c>
      <c r="C152" s="64">
        <f>C22+C10+C54+C48+C60+C35+C122</f>
        <v>32660.300000000003</v>
      </c>
      <c r="D152" s="64">
        <f>D22+D10+D54+D48+D60+D35+D122</f>
        <v>7971.300000000001</v>
      </c>
      <c r="E152" s="6">
        <f>D152/D149*100</f>
        <v>2.8498312367072764</v>
      </c>
      <c r="F152" s="6">
        <f t="shared" si="21"/>
        <v>54.56094839800411</v>
      </c>
      <c r="G152" s="6">
        <f t="shared" si="18"/>
        <v>24.406695590671244</v>
      </c>
      <c r="H152" s="65">
        <f t="shared" si="19"/>
        <v>6638.5999999999985</v>
      </c>
      <c r="I152" s="76">
        <f t="shared" si="20"/>
        <v>24689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8516.099999999999</v>
      </c>
      <c r="C153" s="64">
        <f>C12+C24+C103+C62+C38+C92+C128</f>
        <v>29141.7</v>
      </c>
      <c r="D153" s="64">
        <f>D12+D24+D103+D62+D38+D92+D128</f>
        <v>5697.500000000001</v>
      </c>
      <c r="E153" s="6">
        <f>D153/D149*100</f>
        <v>2.036921640276957</v>
      </c>
      <c r="F153" s="6">
        <f t="shared" si="21"/>
        <v>66.9026901985651</v>
      </c>
      <c r="G153" s="6">
        <f t="shared" si="18"/>
        <v>19.551021388594354</v>
      </c>
      <c r="H153" s="65">
        <f t="shared" si="19"/>
        <v>2818.5999999999976</v>
      </c>
      <c r="I153" s="76">
        <f t="shared" si="20"/>
        <v>23444.2</v>
      </c>
      <c r="K153" s="43"/>
      <c r="L153" s="98"/>
    </row>
    <row r="154" spans="1:12" ht="18.75">
      <c r="A154" s="20" t="s">
        <v>2</v>
      </c>
      <c r="B154" s="64">
        <f>B9+B21+B47+B53+B121</f>
        <v>7818.4</v>
      </c>
      <c r="C154" s="64">
        <f>C9+C21+C47+C53+C121</f>
        <v>21053.1</v>
      </c>
      <c r="D154" s="64">
        <f>D9+D21+D47+D53+D121</f>
        <v>4184.999999999999</v>
      </c>
      <c r="E154" s="6">
        <f>D154/D149*100</f>
        <v>1.4961855312960177</v>
      </c>
      <c r="F154" s="6">
        <f t="shared" si="21"/>
        <v>53.52757597462395</v>
      </c>
      <c r="G154" s="6">
        <f t="shared" si="18"/>
        <v>19.8783077076535</v>
      </c>
      <c r="H154" s="65">
        <f t="shared" si="19"/>
        <v>3633.4000000000005</v>
      </c>
      <c r="I154" s="76">
        <f t="shared" si="20"/>
        <v>16868.1</v>
      </c>
      <c r="K154" s="43"/>
      <c r="L154" s="44"/>
    </row>
    <row r="155" spans="1:12" ht="19.5" thickBot="1">
      <c r="A155" s="20" t="s">
        <v>34</v>
      </c>
      <c r="B155" s="64">
        <f>B149-B150-B151-B152-B153-B154</f>
        <v>168754.60000000003</v>
      </c>
      <c r="C155" s="64">
        <f>C149-C150-C151-C152-C153-C154</f>
        <v>602837.4000000003</v>
      </c>
      <c r="D155" s="64">
        <f>D149-D150-D151-D152-D153-D154</f>
        <v>92713.50000000006</v>
      </c>
      <c r="E155" s="6">
        <f>D155/D149*100</f>
        <v>33.14614032396976</v>
      </c>
      <c r="F155" s="6">
        <f t="shared" si="21"/>
        <v>54.939835714107964</v>
      </c>
      <c r="G155" s="40">
        <f t="shared" si="18"/>
        <v>15.379520248743695</v>
      </c>
      <c r="H155" s="65">
        <f t="shared" si="19"/>
        <v>76041.09999999998</v>
      </c>
      <c r="I155" s="65">
        <f t="shared" si="20"/>
        <v>510123.9000000002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4951.4</v>
      </c>
      <c r="C157" s="70">
        <f>11264.2-188.4+16049.8</f>
        <v>27125.6</v>
      </c>
      <c r="D157" s="70">
        <f>33</f>
        <v>33</v>
      </c>
      <c r="E157" s="14"/>
      <c r="F157" s="6">
        <f t="shared" si="21"/>
        <v>0.6664781677909279</v>
      </c>
      <c r="G157" s="6">
        <f aca="true" t="shared" si="22" ref="G157:G166">D157/C157*100</f>
        <v>0.12165629516029139</v>
      </c>
      <c r="H157" s="6">
        <f>B157-D157</f>
        <v>4918.4</v>
      </c>
      <c r="I157" s="6">
        <f aca="true" t="shared" si="23" ref="I157:I166">C157-D157</f>
        <v>27092.6</v>
      </c>
      <c r="K157" s="43"/>
      <c r="L157" s="43"/>
    </row>
    <row r="158" spans="1:12" ht="18.75">
      <c r="A158" s="20" t="s">
        <v>22</v>
      </c>
      <c r="B158" s="85">
        <v>6067.8</v>
      </c>
      <c r="C158" s="64">
        <v>40292</v>
      </c>
      <c r="D158" s="64"/>
      <c r="E158" s="6"/>
      <c r="F158" s="6">
        <f t="shared" si="21"/>
        <v>0</v>
      </c>
      <c r="G158" s="6">
        <f t="shared" si="22"/>
        <v>0</v>
      </c>
      <c r="H158" s="6">
        <f aca="true" t="shared" si="24" ref="H158:H165">B158-D158</f>
        <v>6067.8</v>
      </c>
      <c r="I158" s="6">
        <f t="shared" si="23"/>
        <v>40292</v>
      </c>
      <c r="K158" s="43"/>
      <c r="L158" s="43"/>
    </row>
    <row r="159" spans="1:12" ht="18.75">
      <c r="A159" s="20" t="s">
        <v>58</v>
      </c>
      <c r="B159" s="85">
        <v>132461</v>
      </c>
      <c r="C159" s="64">
        <f>253351.6+55+5844.1+52645.5+25515.3</f>
        <v>337411.5</v>
      </c>
      <c r="D159" s="64">
        <f>12.5+3344.4+45.2+21.2+85.3+173+1150+146+881.8</f>
        <v>5859.400000000001</v>
      </c>
      <c r="E159" s="6"/>
      <c r="F159" s="6">
        <f t="shared" si="21"/>
        <v>4.423490687825097</v>
      </c>
      <c r="G159" s="6">
        <f t="shared" si="22"/>
        <v>1.7365738867821636</v>
      </c>
      <c r="H159" s="6">
        <f t="shared" si="24"/>
        <v>126601.6</v>
      </c>
      <c r="I159" s="6">
        <f t="shared" si="23"/>
        <v>331552.1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3520.7</v>
      </c>
      <c r="C161" s="64">
        <f>9501+4181.1</f>
        <v>13682.1</v>
      </c>
      <c r="D161" s="64">
        <f>49.9+127.8+39.6+53.8+398.2+8.4+32.5+231.9+89.8+103.6+52.4</f>
        <v>1187.8999999999999</v>
      </c>
      <c r="E161" s="17"/>
      <c r="F161" s="6">
        <f t="shared" si="21"/>
        <v>33.7404493424603</v>
      </c>
      <c r="G161" s="6">
        <f t="shared" si="22"/>
        <v>8.682146746478974</v>
      </c>
      <c r="H161" s="6">
        <f t="shared" si="24"/>
        <v>2332.8</v>
      </c>
      <c r="I161" s="6">
        <f t="shared" si="23"/>
        <v>12494.2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586142.5</v>
      </c>
      <c r="C166" s="87">
        <f>C149+C157+C161+C162+C158+C165+C164+C159+C163+C160</f>
        <v>1807479.8000000003</v>
      </c>
      <c r="D166" s="87">
        <f>D149+D157+D161+D162+D158+D165+D164+D159+D163+D160</f>
        <v>287186.0000000001</v>
      </c>
      <c r="E166" s="22"/>
      <c r="F166" s="3">
        <f>D166/B166*100</f>
        <v>48.99593528877366</v>
      </c>
      <c r="G166" s="3">
        <f t="shared" si="22"/>
        <v>15.888752947612476</v>
      </c>
      <c r="H166" s="3">
        <f>B166-D166</f>
        <v>298956.4999999999</v>
      </c>
      <c r="I166" s="3">
        <f t="shared" si="23"/>
        <v>1520293.8000000003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279711.30000000005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279711.30000000005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2016-03-31T09:03:26Z</cp:lastPrinted>
  <dcterms:created xsi:type="dcterms:W3CDTF">2000-06-20T04:48:00Z</dcterms:created>
  <dcterms:modified xsi:type="dcterms:W3CDTF">2016-04-07T05:08:14Z</dcterms:modified>
  <cp:category/>
  <cp:version/>
  <cp:contentType/>
  <cp:contentStatus/>
</cp:coreProperties>
</file>